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sschouten/Turn group account Dropbox/Anna Schouten/Zuid-Holland Bereikbaar/Acties en tools/Fietstoolboxen/"/>
    </mc:Choice>
  </mc:AlternateContent>
  <xr:revisionPtr revIDLastSave="0" documentId="13_ncr:1_{03CBFA59-B4A4-2A4F-B6F4-96310C0C953A}" xr6:coauthVersionLast="47" xr6:coauthVersionMax="47" xr10:uidLastSave="{00000000-0000-0000-0000-000000000000}"/>
  <bookViews>
    <workbookView xWindow="0" yWindow="500" windowWidth="28800" windowHeight="16420" xr2:uid="{ECC58374-9281-7D40-B710-82E06E4203D1}"/>
  </bookViews>
  <sheets>
    <sheet name="Berekening investering lease" sheetId="1" r:id="rId1"/>
    <sheet name="grafiek berekening" sheetId="5" state="hidden" r:id="rId2"/>
  </sheets>
  <definedNames>
    <definedName name="_xlnm.Print_Area" localSheetId="0">'Berekening investering lease'!$A$1:$F$44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26" i="1"/>
  <c r="B19" i="1"/>
  <c r="B39" i="1" s="1"/>
  <c r="B18" i="1" l="1"/>
  <c r="E40" i="1" l="1"/>
  <c r="B40" i="1"/>
  <c r="E39" i="1"/>
  <c r="F1" i="5" l="1"/>
  <c r="F7" i="5" s="1"/>
  <c r="G5" i="5"/>
  <c r="I5" i="5" s="1"/>
  <c r="G4" i="5"/>
  <c r="I4" i="5" s="1"/>
  <c r="G3" i="5"/>
  <c r="I3" i="5" s="1"/>
  <c r="B36" i="1" l="1"/>
  <c r="E43" i="1" s="1"/>
  <c r="E42" i="1"/>
  <c r="E38" i="1"/>
  <c r="E37" i="1"/>
  <c r="E36" i="1"/>
  <c r="C3" i="5"/>
  <c r="B28" i="1" l="1"/>
  <c r="B38" i="1" l="1"/>
  <c r="B37" i="1"/>
  <c r="B41" i="1" l="1"/>
  <c r="B42" i="1" s="1"/>
  <c r="B1" i="5" l="1"/>
  <c r="B26" i="5" s="1"/>
  <c r="C26" i="5" s="1"/>
  <c r="B22" i="5"/>
  <c r="C22" i="5" s="1"/>
  <c r="B25" i="5"/>
  <c r="C25" i="5" s="1"/>
  <c r="B23" i="5"/>
  <c r="C23" i="5" s="1"/>
  <c r="B6" i="5"/>
  <c r="C6" i="5" s="1"/>
  <c r="B5" i="5"/>
  <c r="C5" i="5" s="1"/>
  <c r="B37" i="5"/>
  <c r="C37" i="5" s="1"/>
  <c r="B21" i="5"/>
  <c r="C21" i="5" s="1"/>
  <c r="B18" i="5"/>
  <c r="C18" i="5" s="1"/>
  <c r="B28" i="5"/>
  <c r="C28" i="5" s="1"/>
  <c r="B35" i="5"/>
  <c r="C35" i="5" s="1"/>
  <c r="B29" i="5"/>
  <c r="C29" i="5" s="1"/>
  <c r="B19" i="5"/>
  <c r="C19" i="5" s="1"/>
  <c r="B8" i="5"/>
  <c r="C8" i="5" s="1"/>
  <c r="B7" i="5"/>
  <c r="C7" i="5" s="1"/>
  <c r="B10" i="5"/>
  <c r="C10" i="5" s="1"/>
  <c r="B9" i="5"/>
  <c r="C9" i="5" s="1"/>
  <c r="B13" i="5"/>
  <c r="C13" i="5" s="1"/>
  <c r="B34" i="5"/>
  <c r="C34" i="5" s="1"/>
  <c r="B12" i="5"/>
  <c r="C12" i="5" s="1"/>
  <c r="B11" i="5"/>
  <c r="C11" i="5" s="1"/>
  <c r="B38" i="5"/>
  <c r="C38" i="5" s="1"/>
  <c r="B17" i="5"/>
  <c r="C17" i="5" s="1"/>
  <c r="B15" i="5"/>
  <c r="C15" i="5" s="1"/>
  <c r="B36" i="5"/>
  <c r="C36" i="5" s="1"/>
  <c r="B31" i="5"/>
  <c r="C31" i="5" s="1"/>
  <c r="B33" i="5"/>
  <c r="C33" i="5" s="1"/>
  <c r="B24" i="5"/>
  <c r="C24" i="5" s="1"/>
  <c r="B4" i="5"/>
  <c r="C4" i="5" s="1"/>
  <c r="B16" i="5"/>
  <c r="C16" i="5" s="1"/>
  <c r="B14" i="5"/>
  <c r="C14" i="5" s="1"/>
  <c r="B27" i="5"/>
  <c r="C27" i="5" s="1"/>
  <c r="B20" i="5"/>
  <c r="C20" i="5" s="1"/>
  <c r="B32" i="5"/>
  <c r="C32" i="5" s="1"/>
  <c r="B30" i="5" l="1"/>
  <c r="C30" i="5" s="1"/>
</calcChain>
</file>

<file path=xl/sharedStrings.xml><?xml version="1.0" encoding="utf-8"?>
<sst xmlns="http://schemas.openxmlformats.org/spreadsheetml/2006/main" count="51" uniqueCount="48">
  <si>
    <t>Belastbaar inkomen</t>
  </si>
  <si>
    <t>Percentage</t>
  </si>
  <si>
    <t>Jaarlijkse bijtelling</t>
  </si>
  <si>
    <t>Maandelijkse bijtelling</t>
  </si>
  <si>
    <t>Aantal maanden</t>
  </si>
  <si>
    <t>Gemiddeld aantal werkdagen per maand:</t>
  </si>
  <si>
    <t>Stap 1: Kilometervergoeding</t>
  </si>
  <si>
    <t>Aantal maanden waarna het voordeliger is om fiets zelf aan te schaffen</t>
  </si>
  <si>
    <t>Totale kosten fiets van de zaak per maand</t>
  </si>
  <si>
    <t>kosten fiets van de zaak</t>
  </si>
  <si>
    <t>Prijs van de fiets (inclusief BTW)</t>
  </si>
  <si>
    <t>fiets van de zaak</t>
  </si>
  <si>
    <t>Zelf kopen</t>
  </si>
  <si>
    <t xml:space="preserve">Voorbeeld: 
</t>
  </si>
  <si>
    <t>Woon-werk km enkele reis</t>
  </si>
  <si>
    <t># dagen werkweek</t>
  </si>
  <si>
    <t>Belastingtarief</t>
  </si>
  <si>
    <t>Aanschafwaarde fiets (incl. BTW)</t>
  </si>
  <si>
    <t>Reiskostenvergoeding per km</t>
  </si>
  <si>
    <t>Aanschaf van welke soort fiets?</t>
  </si>
  <si>
    <t>e-bike</t>
  </si>
  <si>
    <t>type</t>
  </si>
  <si>
    <t>onderhoud</t>
  </si>
  <si>
    <t>verzekering</t>
  </si>
  <si>
    <t>gewone fiets</t>
  </si>
  <si>
    <t>speedpedelec</t>
  </si>
  <si>
    <t>totaal</t>
  </si>
  <si>
    <t># aantal dagen op de leasefiets naar het werk</t>
  </si>
  <si>
    <t># dagen reiskosten per maand</t>
  </si>
  <si>
    <t>(0 invullen indien geen vergoeding)</t>
  </si>
  <si>
    <t xml:space="preserve">Kilometervergoeding per maand </t>
  </si>
  <si>
    <t>Maandelijkse kosten onderhoud en verzekering gemiddeld</t>
  </si>
  <si>
    <t>Bijtelling per maand</t>
  </si>
  <si>
    <t>Kilometervergoeding per maand die uitbetaald werd voorafgaand aan de aanschaffing van de leasefiets</t>
  </si>
  <si>
    <t>Rekenvoorbeeld Leasefiets 2022</t>
  </si>
  <si>
    <t>Vul de gele vlakken in</t>
  </si>
  <si>
    <t xml:space="preserve">Hoe hoog is jouw kilometervergoeding per kilometer? </t>
  </si>
  <si>
    <t>Hoeveel kilometer is jouw woon-werkverkeer enkele reis?</t>
  </si>
  <si>
    <t>Hoeveel dagen per week werk jij?</t>
  </si>
  <si>
    <t>Hoeveel dagen per week ga jij met de leasefiets naar het werk?</t>
  </si>
  <si>
    <t>Stap 2: Bereken hier de bijtelling van jouw fiets</t>
  </si>
  <si>
    <t>Welke belastingschijf is op jouw jaarinkomen van toepassing?</t>
  </si>
  <si>
    <t>Stap 3: Is een leasefiets financieel gunstig voor jou?</t>
  </si>
  <si>
    <t xml:space="preserve">Deel kilometervergoeding per maand dat vervalt (met leasefiets) </t>
  </si>
  <si>
    <r>
      <t xml:space="preserve">Disclaimer: De bijtellingsregeling fiets is ingegaan per </t>
    </r>
    <r>
      <rPr>
        <b/>
        <i/>
        <sz val="8"/>
        <color rgb="FF213A8F"/>
        <rFont val="Verdana"/>
        <family val="2"/>
      </rPr>
      <t>2020</t>
    </r>
    <r>
      <rPr>
        <i/>
        <sz val="8"/>
        <color rgb="FF213A8F"/>
        <rFont val="Verdana"/>
        <family val="2"/>
      </rPr>
      <t>. De berekening is puur indicatief en niet bedoeld om professioneel (financieel) advies te vervangen. Je kunt geen rechten ontlenen aan de berekening.</t>
    </r>
  </si>
  <si>
    <t>Vanaf € 73.032</t>
  </si>
  <si>
    <t>tot € 73.032</t>
  </si>
  <si>
    <t>Belastingschijven 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</si>
</sst>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([$€-2]\ * #,##0.00_);_([$€-2]\ * \(#,##0.00\);_([$€-2]\ * &quot;-&quot;??_);_(@_)"/>
    <numFmt numFmtId="165" formatCode="_(* #,##0.0_);_(* \(#,##0.0\);_(* &quot;-&quot;??_);_(@_)"/>
    <numFmt numFmtId="166" formatCode="_(* #,##0_);_(* \(#,##0\);_(* &quot;-&quot;??_);_(@_)"/>
    <numFmt numFmtId="167" formatCode="#,##0.0"/>
    <numFmt numFmtId="169" formatCode="_([$€-2]\ * #,##0_);_([$€-2]\ * \(#,##0\);_([$€-2]\ * &quot;-&quot;??_);_(@_)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9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rgb="FF213A8F"/>
      <name val="Verdana Bold"/>
    </font>
    <font>
      <b/>
      <sz val="14"/>
      <color rgb="FF213A8F"/>
      <name val="Verdana"/>
      <family val="2"/>
    </font>
    <font>
      <b/>
      <sz val="12"/>
      <color rgb="FF213A8F"/>
      <name val="Verdana"/>
      <family val="2"/>
    </font>
    <font>
      <b/>
      <sz val="12"/>
      <color rgb="FF213A8F"/>
      <name val="Calibri"/>
      <family val="2"/>
      <scheme val="minor"/>
    </font>
    <font>
      <sz val="12"/>
      <color rgb="FF213A8F"/>
      <name val="Calibri"/>
      <family val="2"/>
      <scheme val="minor"/>
    </font>
    <font>
      <sz val="20"/>
      <color rgb="FF213A8F"/>
      <name val="Calibri"/>
      <family val="2"/>
      <scheme val="minor"/>
    </font>
    <font>
      <b/>
      <sz val="16"/>
      <color rgb="FF213A8F"/>
      <name val="Calibri"/>
      <family val="2"/>
      <scheme val="minor"/>
    </font>
    <font>
      <sz val="10"/>
      <color rgb="FF213A8F"/>
      <name val="Verdana"/>
      <family val="2"/>
    </font>
    <font>
      <b/>
      <u val="singleAccounting"/>
      <sz val="10"/>
      <color rgb="FF213A8F"/>
      <name val="Verdana"/>
      <family val="2"/>
    </font>
    <font>
      <b/>
      <sz val="16"/>
      <color rgb="FF213A8F"/>
      <name val="Verdana"/>
      <family val="2"/>
    </font>
    <font>
      <u val="singleAccounting"/>
      <sz val="10"/>
      <color rgb="FF213A8F"/>
      <name val="Verdana"/>
      <family val="2"/>
    </font>
    <font>
      <b/>
      <u val="singleAccounting"/>
      <sz val="12"/>
      <color rgb="FF213A8F"/>
      <name val="Calibri"/>
      <family val="2"/>
      <scheme val="minor"/>
    </font>
    <font>
      <b/>
      <i/>
      <sz val="9"/>
      <color rgb="FF213A8F"/>
      <name val="Verdana"/>
      <family val="2"/>
    </font>
    <font>
      <i/>
      <sz val="9"/>
      <color rgb="FF213A8F"/>
      <name val="Verdana"/>
      <family val="2"/>
    </font>
    <font>
      <b/>
      <sz val="10"/>
      <color rgb="FF213A8F"/>
      <name val="Verdana"/>
      <family val="2"/>
    </font>
    <font>
      <i/>
      <sz val="10"/>
      <color rgb="FF213A8F"/>
      <name val="Verdana"/>
      <family val="2"/>
    </font>
    <font>
      <i/>
      <sz val="8"/>
      <color rgb="FF213A8F"/>
      <name val="Verdana"/>
      <family val="2"/>
    </font>
    <font>
      <b/>
      <i/>
      <sz val="8"/>
      <color rgb="FF213A8F"/>
      <name val="Verdana"/>
      <family val="2"/>
    </font>
    <font>
      <i/>
      <sz val="10"/>
      <color rgb="FF213A8F"/>
      <name val="Calibri"/>
      <family val="2"/>
      <scheme val="minor"/>
    </font>
    <font>
      <b/>
      <sz val="20"/>
      <color rgb="FF213A8F"/>
      <name val="Verdana"/>
      <family val="2"/>
    </font>
    <font>
      <sz val="1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D9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44" fontId="0" fillId="0" borderId="0" xfId="1" applyFont="1"/>
    <xf numFmtId="44" fontId="0" fillId="0" borderId="0" xfId="0" applyNumberFormat="1"/>
    <xf numFmtId="0" fontId="2" fillId="2" borderId="0" xfId="0" applyFont="1" applyFill="1"/>
    <xf numFmtId="0" fontId="0" fillId="2" borderId="0" xfId="0" applyFill="1" applyAlignment="1">
      <alignment wrapText="1"/>
    </xf>
    <xf numFmtId="44" fontId="0" fillId="2" borderId="0" xfId="0" applyNumberFormat="1" applyFill="1"/>
    <xf numFmtId="2" fontId="0" fillId="0" borderId="0" xfId="0" applyNumberFormat="1"/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wrapText="1"/>
    </xf>
    <xf numFmtId="0" fontId="11" fillId="2" borderId="4" xfId="0" applyFont="1" applyFill="1" applyBorder="1" applyAlignment="1">
      <alignment horizontal="left" vertical="top"/>
    </xf>
    <xf numFmtId="44" fontId="11" fillId="4" borderId="1" xfId="1" applyFont="1" applyFill="1" applyBorder="1" applyAlignment="1">
      <alignment horizontal="right" vertical="top"/>
    </xf>
    <xf numFmtId="44" fontId="8" fillId="2" borderId="0" xfId="0" applyNumberFormat="1" applyFont="1" applyFill="1"/>
    <xf numFmtId="44" fontId="11" fillId="0" borderId="1" xfId="1" applyFont="1" applyFill="1" applyBorder="1" applyAlignment="1">
      <alignment horizontal="right" vertical="top"/>
    </xf>
    <xf numFmtId="44" fontId="8" fillId="2" borderId="4" xfId="1" applyFont="1" applyFill="1" applyBorder="1" applyAlignment="1">
      <alignment horizontal="left" vertical="top"/>
    </xf>
    <xf numFmtId="0" fontId="11" fillId="2" borderId="1" xfId="0" applyFont="1" applyFill="1" applyBorder="1"/>
    <xf numFmtId="0" fontId="11" fillId="2" borderId="4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8" fillId="2" borderId="4" xfId="0" applyFont="1" applyFill="1" applyBorder="1"/>
    <xf numFmtId="0" fontId="11" fillId="2" borderId="4" xfId="0" applyFont="1" applyFill="1" applyBorder="1"/>
    <xf numFmtId="0" fontId="11" fillId="4" borderId="1" xfId="0" applyFont="1" applyFill="1" applyBorder="1"/>
    <xf numFmtId="0" fontId="11" fillId="2" borderId="8" xfId="0" applyFont="1" applyFill="1" applyBorder="1"/>
    <xf numFmtId="0" fontId="11" fillId="4" borderId="1" xfId="0" applyFont="1" applyFill="1" applyBorder="1" applyAlignment="1">
      <alignment horizontal="right"/>
    </xf>
    <xf numFmtId="166" fontId="11" fillId="2" borderId="1" xfId="3" applyNumberFormat="1" applyFont="1" applyFill="1" applyBorder="1"/>
    <xf numFmtId="1" fontId="11" fillId="2" borderId="4" xfId="0" applyNumberFormat="1" applyFont="1" applyFill="1" applyBorder="1"/>
    <xf numFmtId="0" fontId="11" fillId="2" borderId="6" xfId="0" applyFont="1" applyFill="1" applyBorder="1"/>
    <xf numFmtId="44" fontId="12" fillId="2" borderId="7" xfId="1" applyFont="1" applyFill="1" applyBorder="1" applyAlignment="1">
      <alignment horizontal="left"/>
    </xf>
    <xf numFmtId="0" fontId="7" fillId="2" borderId="0" xfId="0" applyFont="1" applyFill="1"/>
    <xf numFmtId="0" fontId="11" fillId="2" borderId="4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10" fontId="11" fillId="4" borderId="1" xfId="2" applyNumberFormat="1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64" fontId="12" fillId="2" borderId="7" xfId="0" applyNumberFormat="1" applyFont="1" applyFill="1" applyBorder="1" applyAlignment="1">
      <alignment vertical="center"/>
    </xf>
    <xf numFmtId="164" fontId="15" fillId="2" borderId="0" xfId="0" applyNumberFormat="1" applyFont="1" applyFill="1"/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/>
    </xf>
    <xf numFmtId="10" fontId="17" fillId="3" borderId="5" xfId="2" applyNumberFormat="1" applyFont="1" applyFill="1" applyBorder="1"/>
    <xf numFmtId="0" fontId="18" fillId="2" borderId="2" xfId="0" applyFont="1" applyFill="1" applyBorder="1" applyAlignment="1">
      <alignment vertical="center" wrapText="1"/>
    </xf>
    <xf numFmtId="44" fontId="11" fillId="2" borderId="3" xfId="0" applyNumberFormat="1" applyFont="1" applyFill="1" applyBorder="1"/>
    <xf numFmtId="0" fontId="11" fillId="2" borderId="4" xfId="0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left" vertical="center"/>
    </xf>
    <xf numFmtId="44" fontId="11" fillId="2" borderId="1" xfId="0" applyNumberFormat="1" applyFont="1" applyFill="1" applyBorder="1"/>
    <xf numFmtId="165" fontId="11" fillId="2" borderId="1" xfId="3" applyNumberFormat="1" applyFont="1" applyFill="1" applyBorder="1"/>
    <xf numFmtId="0" fontId="11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 wrapText="1"/>
    </xf>
    <xf numFmtId="167" fontId="18" fillId="2" borderId="7" xfId="3" applyNumberFormat="1" applyFont="1" applyFill="1" applyBorder="1" applyAlignment="1">
      <alignment horizontal="right" vertical="center"/>
    </xf>
    <xf numFmtId="44" fontId="8" fillId="2" borderId="0" xfId="1" applyFont="1" applyFill="1" applyBorder="1"/>
    <xf numFmtId="10" fontId="11" fillId="2" borderId="1" xfId="0" applyNumberFormat="1" applyFont="1" applyFill="1" applyBorder="1"/>
    <xf numFmtId="0" fontId="22" fillId="2" borderId="0" xfId="0" applyFont="1" applyFill="1" applyAlignment="1">
      <alignment horizontal="left" wrapText="1"/>
    </xf>
    <xf numFmtId="0" fontId="8" fillId="2" borderId="6" xfId="0" applyFont="1" applyFill="1" applyBorder="1"/>
    <xf numFmtId="0" fontId="8" fillId="2" borderId="7" xfId="0" applyFont="1" applyFill="1" applyBorder="1"/>
    <xf numFmtId="0" fontId="23" fillId="2" borderId="0" xfId="0" applyFont="1" applyFill="1" applyAlignment="1">
      <alignment horizontal="left"/>
    </xf>
    <xf numFmtId="0" fontId="20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6" fontId="11" fillId="2" borderId="1" xfId="3" applyNumberFormat="1" applyFont="1" applyFill="1" applyBorder="1" applyAlignment="1">
      <alignment horizontal="right" indent="1"/>
    </xf>
    <xf numFmtId="1" fontId="24" fillId="2" borderId="1" xfId="0" applyNumberFormat="1" applyFont="1" applyFill="1" applyBorder="1"/>
    <xf numFmtId="169" fontId="11" fillId="4" borderId="1" xfId="1" applyNumberFormat="1" applyFont="1" applyFill="1" applyBorder="1" applyAlignment="1">
      <alignment vertical="center"/>
    </xf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13A8F"/>
      <color rgb="FFE6007E"/>
      <color rgb="FF72A32D"/>
      <color rgb="FFF9D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Lease fiets of zelf aanschaffen: "terugverdientijd berekend"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Totale kosten fiets van de zaak</c:v>
          </c:tx>
          <c:spPr>
            <a:solidFill>
              <a:srgbClr val="E6007E"/>
            </a:solidFill>
            <a:ln>
              <a:noFill/>
            </a:ln>
            <a:effectLst/>
          </c:spPr>
          <c:invertIfNegative val="0"/>
          <c:val>
            <c:numRef>
              <c:f>'grafiek berekening'!$B$4:$B$38</c:f>
              <c:numCache>
                <c:formatCode>_("€"* #,##0.00_);_("€"* \(#,##0.00\);_("€"* "-"??_);_(@_)</c:formatCode>
                <c:ptCount val="35"/>
                <c:pt idx="0">
                  <c:v>99.068749999999994</c:v>
                </c:pt>
                <c:pt idx="1">
                  <c:v>198.13749999999999</c:v>
                </c:pt>
                <c:pt idx="2">
                  <c:v>297.20624999999995</c:v>
                </c:pt>
                <c:pt idx="3">
                  <c:v>396.27499999999998</c:v>
                </c:pt>
                <c:pt idx="4">
                  <c:v>495.34375</c:v>
                </c:pt>
                <c:pt idx="5">
                  <c:v>594.41249999999991</c:v>
                </c:pt>
                <c:pt idx="6">
                  <c:v>693.48124999999993</c:v>
                </c:pt>
                <c:pt idx="7">
                  <c:v>792.55</c:v>
                </c:pt>
                <c:pt idx="8">
                  <c:v>891.61874999999998</c:v>
                </c:pt>
                <c:pt idx="9">
                  <c:v>990.6875</c:v>
                </c:pt>
                <c:pt idx="10">
                  <c:v>1089.7562499999999</c:v>
                </c:pt>
                <c:pt idx="11">
                  <c:v>1188.8249999999998</c:v>
                </c:pt>
                <c:pt idx="12">
                  <c:v>1287.89375</c:v>
                </c:pt>
                <c:pt idx="13">
                  <c:v>1386.9624999999999</c:v>
                </c:pt>
                <c:pt idx="14">
                  <c:v>1486.03125</c:v>
                </c:pt>
                <c:pt idx="15">
                  <c:v>1585.1</c:v>
                </c:pt>
                <c:pt idx="16">
                  <c:v>1684.1687499999998</c:v>
                </c:pt>
                <c:pt idx="17">
                  <c:v>1783.2375</c:v>
                </c:pt>
                <c:pt idx="18">
                  <c:v>1882.3062499999999</c:v>
                </c:pt>
                <c:pt idx="19">
                  <c:v>1981.375</c:v>
                </c:pt>
                <c:pt idx="20">
                  <c:v>2080.4437499999999</c:v>
                </c:pt>
                <c:pt idx="21">
                  <c:v>2179.5124999999998</c:v>
                </c:pt>
                <c:pt idx="22">
                  <c:v>2278.5812499999997</c:v>
                </c:pt>
                <c:pt idx="23">
                  <c:v>2377.6499999999996</c:v>
                </c:pt>
                <c:pt idx="24">
                  <c:v>2476.71875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3-7744-BDDF-00E3224D50C4}"/>
            </c:ext>
          </c:extLst>
        </c:ser>
        <c:ser>
          <c:idx val="2"/>
          <c:order val="1"/>
          <c:tx>
            <c:v>blabla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'grafiek berekening'!$C$4:$C$38</c:f>
              <c:numCache>
                <c:formatCode>_("€"* #,##0.00_);_("€"* \(#,##0.00\);_("€"* "-"??_);_(@_)</c:formatCode>
                <c:ptCount val="35"/>
                <c:pt idx="0">
                  <c:v>2400.9312500000001</c:v>
                </c:pt>
                <c:pt idx="1">
                  <c:v>2301.8625000000002</c:v>
                </c:pt>
                <c:pt idx="2">
                  <c:v>2202.7937499999998</c:v>
                </c:pt>
                <c:pt idx="3">
                  <c:v>2103.7249999999999</c:v>
                </c:pt>
                <c:pt idx="4">
                  <c:v>2004.65625</c:v>
                </c:pt>
                <c:pt idx="5">
                  <c:v>1905.5875000000001</c:v>
                </c:pt>
                <c:pt idx="6">
                  <c:v>1806.5187500000002</c:v>
                </c:pt>
                <c:pt idx="7">
                  <c:v>1707.45</c:v>
                </c:pt>
                <c:pt idx="8">
                  <c:v>1608.3812499999999</c:v>
                </c:pt>
                <c:pt idx="9">
                  <c:v>1509.3125</c:v>
                </c:pt>
                <c:pt idx="10">
                  <c:v>1410.2437500000001</c:v>
                </c:pt>
                <c:pt idx="11">
                  <c:v>1311.1750000000002</c:v>
                </c:pt>
                <c:pt idx="12">
                  <c:v>1212.10625</c:v>
                </c:pt>
                <c:pt idx="13">
                  <c:v>1113.0375000000001</c:v>
                </c:pt>
                <c:pt idx="14">
                  <c:v>1013.96875</c:v>
                </c:pt>
                <c:pt idx="15">
                  <c:v>914.90000000000009</c:v>
                </c:pt>
                <c:pt idx="16">
                  <c:v>815.83125000000018</c:v>
                </c:pt>
                <c:pt idx="17">
                  <c:v>716.76250000000005</c:v>
                </c:pt>
                <c:pt idx="18">
                  <c:v>617.69375000000014</c:v>
                </c:pt>
                <c:pt idx="19">
                  <c:v>518.625</c:v>
                </c:pt>
                <c:pt idx="20">
                  <c:v>419.55625000000009</c:v>
                </c:pt>
                <c:pt idx="21">
                  <c:v>320.48750000000018</c:v>
                </c:pt>
                <c:pt idx="22">
                  <c:v>221.41875000000027</c:v>
                </c:pt>
                <c:pt idx="23">
                  <c:v>122.35000000000036</c:v>
                </c:pt>
                <c:pt idx="24">
                  <c:v>23.28125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3-7744-BDDF-00E3224D5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72138031"/>
        <c:axId val="1494365151"/>
      </c:barChart>
      <c:catAx>
        <c:axId val="15721380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94365151"/>
        <c:crosses val="autoZero"/>
        <c:auto val="1"/>
        <c:lblAlgn val="ctr"/>
        <c:lblOffset val="100"/>
        <c:noMultiLvlLbl val="0"/>
      </c:catAx>
      <c:valAx>
        <c:axId val="149436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7213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292100</xdr:colOff>
      <xdr:row>6</xdr:row>
      <xdr:rowOff>88900</xdr:rowOff>
    </xdr:from>
    <xdr:to>
      <xdr:col>4</xdr:col>
      <xdr:colOff>1587500</xdr:colOff>
      <xdr:row>28</xdr:row>
      <xdr:rowOff>88900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1CDAEC5F-F9C1-AC49-9C33-B6D60703E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1179285</xdr:colOff>
      <xdr:row>0</xdr:row>
      <xdr:rowOff>181430</xdr:rowOff>
    </xdr:from>
    <xdr:to>
      <xdr:col>3</xdr:col>
      <xdr:colOff>3612077</xdr:colOff>
      <xdr:row>6</xdr:row>
      <xdr:rowOff>189677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6F66448-5CD1-9497-232A-69660F01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2012" y="181430"/>
          <a:ext cx="2432792" cy="1566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FB8E-4AE6-A941-8FB9-6C6EDAC1A119}">
  <sheetPr>
    <pageSetUpPr fitToPage="1"/>
  </sheetPr>
  <dimension ref="A1:E44"/>
  <sheetViews>
    <sheetView tabSelected="1" view="pageLayout" topLeftCell="A5" zoomScale="154" zoomScaleNormal="91" zoomScalePageLayoutView="154" workbookViewId="0">
      <selection activeCell="B17" sqref="B17"/>
    </sheetView>
  </sheetViews>
  <sheetFormatPr baseColWidth="10" defaultColWidth="10.83203125" defaultRowHeight="16"/>
  <cols>
    <col min="1" max="1" width="59.83203125" style="1" customWidth="1"/>
    <col min="2" max="2" width="21.5" style="1" customWidth="1"/>
    <col min="3" max="3" width="11" style="1" customWidth="1"/>
    <col min="4" max="4" width="53.5" style="1" customWidth="1"/>
    <col min="5" max="5" width="23" style="1" customWidth="1"/>
    <col min="6" max="16384" width="10.83203125" style="1"/>
  </cols>
  <sheetData>
    <row r="1" spans="1:5" ht="26">
      <c r="A1" s="59" t="s">
        <v>34</v>
      </c>
      <c r="B1" s="60"/>
      <c r="D1" s="57" t="s">
        <v>34</v>
      </c>
      <c r="E1" s="57"/>
    </row>
    <row r="2" spans="1:5" ht="26">
      <c r="A2" s="4"/>
      <c r="D2" s="4"/>
    </row>
    <row r="3" spans="1:5" ht="26">
      <c r="A3" s="4"/>
      <c r="D3" s="4"/>
    </row>
    <row r="4" spans="1:5" ht="11" customHeight="1">
      <c r="A4" s="4"/>
    </row>
    <row r="5" spans="1:5" ht="23" customHeight="1">
      <c r="A5" s="65" t="s">
        <v>35</v>
      </c>
      <c r="B5" s="66"/>
      <c r="C5" s="8"/>
      <c r="D5" s="8"/>
      <c r="E5" s="8"/>
    </row>
    <row r="6" spans="1:5" ht="11" customHeight="1" thickBot="1">
      <c r="A6" s="9"/>
      <c r="B6" s="8"/>
      <c r="C6" s="8"/>
      <c r="D6" s="8"/>
      <c r="E6" s="8"/>
    </row>
    <row r="7" spans="1:5" ht="29" customHeight="1">
      <c r="A7" s="61" t="s">
        <v>6</v>
      </c>
      <c r="B7" s="62"/>
      <c r="C7" s="8"/>
      <c r="D7" s="10"/>
      <c r="E7" s="8"/>
    </row>
    <row r="8" spans="1:5">
      <c r="A8" s="11" t="s">
        <v>36</v>
      </c>
      <c r="B8" s="12">
        <v>0.21</v>
      </c>
      <c r="C8" s="8"/>
      <c r="D8" s="8"/>
      <c r="E8" s="13"/>
    </row>
    <row r="9" spans="1:5">
      <c r="A9" s="11" t="s">
        <v>29</v>
      </c>
      <c r="B9" s="14"/>
      <c r="C9" s="8"/>
      <c r="D9" s="8"/>
      <c r="E9" s="13"/>
    </row>
    <row r="10" spans="1:5">
      <c r="A10" s="15"/>
      <c r="B10" s="16"/>
      <c r="C10" s="8"/>
      <c r="D10" s="8"/>
      <c r="E10" s="13"/>
    </row>
    <row r="11" spans="1:5" ht="16" customHeight="1">
      <c r="A11" s="17" t="s">
        <v>37</v>
      </c>
      <c r="B11" s="18">
        <v>15</v>
      </c>
      <c r="C11" s="8"/>
      <c r="D11" s="8"/>
      <c r="E11" s="13"/>
    </row>
    <row r="12" spans="1:5">
      <c r="A12" s="19"/>
      <c r="B12" s="16"/>
      <c r="C12" s="8"/>
      <c r="D12" s="8"/>
      <c r="E12" s="13"/>
    </row>
    <row r="13" spans="1:5">
      <c r="A13" s="20" t="s">
        <v>38</v>
      </c>
      <c r="B13" s="21">
        <v>5</v>
      </c>
      <c r="C13" s="8"/>
      <c r="D13" s="8"/>
      <c r="E13" s="13"/>
    </row>
    <row r="14" spans="1:5">
      <c r="A14" s="19"/>
      <c r="B14" s="16"/>
      <c r="C14" s="8"/>
      <c r="D14" s="8"/>
      <c r="E14" s="13"/>
    </row>
    <row r="15" spans="1:5">
      <c r="A15" s="20" t="s">
        <v>39</v>
      </c>
      <c r="B15" s="21">
        <v>5</v>
      </c>
      <c r="C15" s="8"/>
      <c r="D15" s="8"/>
      <c r="E15" s="13"/>
    </row>
    <row r="16" spans="1:5">
      <c r="A16" s="19"/>
      <c r="B16" s="16"/>
      <c r="C16" s="8"/>
      <c r="D16" s="8"/>
      <c r="E16" s="13"/>
    </row>
    <row r="17" spans="1:5">
      <c r="A17" s="22" t="s">
        <v>19</v>
      </c>
      <c r="B17" s="23" t="s">
        <v>20</v>
      </c>
      <c r="C17" s="8"/>
      <c r="D17" s="8"/>
      <c r="E17" s="13"/>
    </row>
    <row r="18" spans="1:5">
      <c r="A18" s="22" t="s">
        <v>5</v>
      </c>
      <c r="B18" s="67">
        <f>((214/5)*B13/12)</f>
        <v>17.833333333333332</v>
      </c>
      <c r="C18" s="8"/>
      <c r="D18" s="8"/>
      <c r="E18" s="13"/>
    </row>
    <row r="19" spans="1:5">
      <c r="A19" s="25"/>
      <c r="B19" s="68">
        <f>((214/5)*B15/12)</f>
        <v>17.833333333333332</v>
      </c>
      <c r="C19" s="8"/>
      <c r="D19" s="8"/>
      <c r="E19" s="13"/>
    </row>
    <row r="20" spans="1:5" ht="19" thickBot="1">
      <c r="A20" s="26" t="s">
        <v>30</v>
      </c>
      <c r="B20" s="27">
        <f>(B8*(B11*2))*B18</f>
        <v>112.35</v>
      </c>
      <c r="C20" s="8"/>
      <c r="D20" s="8"/>
      <c r="E20" s="13"/>
    </row>
    <row r="21" spans="1:5" ht="30" customHeight="1" thickBot="1">
      <c r="A21" s="28"/>
      <c r="B21" s="8"/>
      <c r="C21" s="8"/>
      <c r="D21" s="8"/>
      <c r="E21" s="13"/>
    </row>
    <row r="22" spans="1:5" ht="20">
      <c r="A22" s="61" t="s">
        <v>40</v>
      </c>
      <c r="B22" s="63"/>
      <c r="C22" s="8"/>
      <c r="D22" s="8"/>
      <c r="E22" s="13"/>
    </row>
    <row r="23" spans="1:5">
      <c r="A23" s="29" t="s">
        <v>10</v>
      </c>
      <c r="B23" s="69">
        <v>2500</v>
      </c>
      <c r="C23" s="8"/>
      <c r="D23" s="8"/>
      <c r="E23" s="13"/>
    </row>
    <row r="24" spans="1:5" ht="10" customHeight="1">
      <c r="A24" s="29"/>
      <c r="B24" s="30"/>
      <c r="C24" s="8"/>
      <c r="D24" s="8"/>
      <c r="E24" s="13"/>
    </row>
    <row r="25" spans="1:5" ht="22" customHeight="1">
      <c r="A25" s="31" t="s">
        <v>41</v>
      </c>
      <c r="B25" s="32">
        <v>0.495</v>
      </c>
      <c r="C25" s="8"/>
      <c r="D25" s="8"/>
      <c r="E25" s="13"/>
    </row>
    <row r="26" spans="1:5" ht="19" customHeight="1">
      <c r="A26" s="29" t="s">
        <v>2</v>
      </c>
      <c r="B26" s="33">
        <f>(B23*B25)*0.07</f>
        <v>86.625000000000014</v>
      </c>
      <c r="C26" s="8"/>
      <c r="D26" s="8"/>
      <c r="E26" s="13"/>
    </row>
    <row r="27" spans="1:5" ht="6" customHeight="1">
      <c r="A27" s="29"/>
      <c r="B27" s="34"/>
      <c r="C27" s="8"/>
      <c r="D27" s="8"/>
      <c r="E27" s="13"/>
    </row>
    <row r="28" spans="1:5" ht="18" customHeight="1" thickBot="1">
      <c r="A28" s="35" t="s">
        <v>3</v>
      </c>
      <c r="B28" s="36">
        <f>B26/12</f>
        <v>7.2187500000000009</v>
      </c>
      <c r="C28" s="8"/>
      <c r="D28" s="8"/>
      <c r="E28" s="13"/>
    </row>
    <row r="29" spans="1:5" ht="14" customHeight="1">
      <c r="A29" s="28"/>
      <c r="B29" s="37"/>
      <c r="C29" s="8"/>
      <c r="D29" s="8"/>
      <c r="E29" s="13"/>
    </row>
    <row r="30" spans="1:5">
      <c r="A30" s="64" t="s">
        <v>47</v>
      </c>
      <c r="B30" s="64"/>
      <c r="C30" s="8"/>
      <c r="D30" s="8"/>
      <c r="E30" s="13"/>
    </row>
    <row r="31" spans="1:5">
      <c r="A31" s="38" t="s">
        <v>0</v>
      </c>
      <c r="B31" s="38" t="s">
        <v>1</v>
      </c>
      <c r="C31" s="8"/>
      <c r="D31" s="8"/>
      <c r="E31" s="13"/>
    </row>
    <row r="32" spans="1:5">
      <c r="A32" s="39" t="s">
        <v>46</v>
      </c>
      <c r="B32" s="40">
        <v>0.36930000000000002</v>
      </c>
      <c r="C32" s="8"/>
      <c r="D32" s="8"/>
      <c r="E32" s="13"/>
    </row>
    <row r="33" spans="1:5" ht="18" customHeight="1">
      <c r="A33" s="39" t="s">
        <v>45</v>
      </c>
      <c r="B33" s="40">
        <v>0.495</v>
      </c>
      <c r="C33" s="8"/>
      <c r="D33" s="8"/>
      <c r="E33" s="13"/>
    </row>
    <row r="34" spans="1:5" ht="13" customHeight="1" thickBot="1">
      <c r="A34" s="8"/>
      <c r="B34" s="8"/>
      <c r="C34" s="8"/>
      <c r="D34" s="10"/>
      <c r="E34" s="13"/>
    </row>
    <row r="35" spans="1:5" ht="28" customHeight="1">
      <c r="A35" s="61" t="s">
        <v>42</v>
      </c>
      <c r="B35" s="63"/>
      <c r="C35" s="8"/>
      <c r="D35" s="41" t="s">
        <v>13</v>
      </c>
      <c r="E35" s="42"/>
    </row>
    <row r="36" spans="1:5" ht="26" customHeight="1">
      <c r="A36" s="43" t="s">
        <v>17</v>
      </c>
      <c r="B36" s="44">
        <f>B23</f>
        <v>2500</v>
      </c>
      <c r="C36" s="8"/>
      <c r="D36" s="20" t="s">
        <v>18</v>
      </c>
      <c r="E36" s="45">
        <f>B8</f>
        <v>0.21</v>
      </c>
    </row>
    <row r="37" spans="1:5" ht="42" customHeight="1">
      <c r="A37" s="43" t="s">
        <v>32</v>
      </c>
      <c r="B37" s="44">
        <f>B28</f>
        <v>7.2187500000000009</v>
      </c>
      <c r="C37" s="8"/>
      <c r="D37" s="20" t="s">
        <v>14</v>
      </c>
      <c r="E37" s="46">
        <f>B11</f>
        <v>15</v>
      </c>
    </row>
    <row r="38" spans="1:5" ht="42" customHeight="1">
      <c r="A38" s="47" t="s">
        <v>33</v>
      </c>
      <c r="B38" s="44">
        <f>B20</f>
        <v>112.35</v>
      </c>
      <c r="C38" s="8"/>
      <c r="D38" s="20" t="s">
        <v>15</v>
      </c>
      <c r="E38" s="24">
        <f>B13</f>
        <v>5</v>
      </c>
    </row>
    <row r="39" spans="1:5" ht="42" customHeight="1">
      <c r="A39" s="47" t="s">
        <v>43</v>
      </c>
      <c r="B39" s="44">
        <f>(B8*(B11*2))*B19</f>
        <v>112.35</v>
      </c>
      <c r="C39" s="8"/>
      <c r="D39" s="20" t="s">
        <v>27</v>
      </c>
      <c r="E39" s="24">
        <f>B15</f>
        <v>5</v>
      </c>
    </row>
    <row r="40" spans="1:5" ht="40" customHeight="1">
      <c r="A40" s="47" t="s">
        <v>31</v>
      </c>
      <c r="B40" s="44">
        <f>VLOOKUP('Berekening investering lease'!B17,'grafiek berekening'!F3:I5,4,FALSE)</f>
        <v>20.5</v>
      </c>
      <c r="C40" s="8"/>
      <c r="D40" s="20" t="s">
        <v>28</v>
      </c>
      <c r="E40" s="24">
        <f>B18</f>
        <v>17.833333333333332</v>
      </c>
    </row>
    <row r="41" spans="1:5">
      <c r="A41" s="48" t="s">
        <v>8</v>
      </c>
      <c r="B41" s="49">
        <f>B39+B37-B40</f>
        <v>99.068749999999994</v>
      </c>
      <c r="C41" s="8"/>
      <c r="D41" s="20"/>
      <c r="E41" s="45"/>
    </row>
    <row r="42" spans="1:5" ht="32" customHeight="1" thickBot="1">
      <c r="A42" s="50" t="s">
        <v>7</v>
      </c>
      <c r="B42" s="51">
        <f>B36/B41</f>
        <v>25.235000946312535</v>
      </c>
      <c r="C42" s="52"/>
      <c r="D42" s="20" t="s">
        <v>16</v>
      </c>
      <c r="E42" s="53">
        <f>B25</f>
        <v>0.495</v>
      </c>
    </row>
    <row r="43" spans="1:5" ht="32" customHeight="1">
      <c r="A43" s="58" t="s">
        <v>44</v>
      </c>
      <c r="B43" s="58"/>
      <c r="C43" s="54"/>
      <c r="D43" s="20" t="s">
        <v>17</v>
      </c>
      <c r="E43" s="45">
        <f>B36</f>
        <v>2500</v>
      </c>
    </row>
    <row r="44" spans="1:5" ht="11" customHeight="1" thickBot="1">
      <c r="A44" s="58"/>
      <c r="B44" s="58"/>
      <c r="C44" s="8"/>
      <c r="D44" s="55"/>
      <c r="E44" s="56"/>
    </row>
  </sheetData>
  <mergeCells count="8">
    <mergeCell ref="D1:E1"/>
    <mergeCell ref="A43:B44"/>
    <mergeCell ref="A1:B1"/>
    <mergeCell ref="A7:B7"/>
    <mergeCell ref="A22:B22"/>
    <mergeCell ref="A35:B35"/>
    <mergeCell ref="A30:B30"/>
    <mergeCell ref="A5:B5"/>
  </mergeCells>
  <dataValidations count="3">
    <dataValidation type="list" allowBlank="1" showInputMessage="1" showErrorMessage="1" sqref="B13 B15" xr:uid="{C6321408-7F45-244F-BBC6-75D3AF5F64D9}">
      <formula1>"1,2,3,4,5"</formula1>
    </dataValidation>
    <dataValidation type="list" allowBlank="1" showInputMessage="1" showErrorMessage="1" sqref="B25" xr:uid="{EDE5B8B0-CA1B-FF48-A950-265DDF9A6A60}">
      <mc:AlternateContent xmlns:x12ac="http://schemas.microsoft.com/office/spreadsheetml/2011/1/ac" xmlns:mc="http://schemas.openxmlformats.org/markup-compatibility/2006">
        <mc:Choice Requires="x12ac">
          <x12ac:list>"0,3693"," 0,4950"</x12ac:list>
        </mc:Choice>
        <mc:Fallback>
          <formula1>"0,3693, 0,4950"</formula1>
        </mc:Fallback>
      </mc:AlternateContent>
    </dataValidation>
    <dataValidation type="list" allowBlank="1" showInputMessage="1" showErrorMessage="1" sqref="B17" xr:uid="{6BA8DEEA-96F1-E94C-9C2F-A56C9E3D8545}">
      <formula1>"gewone fiets,e-bike,speedpedelec"</formula1>
    </dataValidation>
  </dataValidations>
  <printOptions horizontalCentered="1"/>
  <pageMargins left="0.45" right="0.45" top="0.5" bottom="0.5" header="0.3" footer="0.3"/>
  <pageSetup paperSize="9" scale="62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577A-F37B-3A49-A045-8EB4E3927120}">
  <dimension ref="A1:I41"/>
  <sheetViews>
    <sheetView workbookViewId="0">
      <selection activeCell="I9" sqref="I9"/>
    </sheetView>
  </sheetViews>
  <sheetFormatPr baseColWidth="10" defaultColWidth="11.1640625" defaultRowHeight="16"/>
  <cols>
    <col min="1" max="1" width="20.83203125" bestFit="1" customWidth="1"/>
    <col min="3" max="3" width="12.33203125" customWidth="1"/>
    <col min="6" max="6" width="13.83203125" customWidth="1"/>
    <col min="7" max="8" width="10.83203125" customWidth="1"/>
  </cols>
  <sheetData>
    <row r="1" spans="1:9">
      <c r="A1" t="s">
        <v>9</v>
      </c>
      <c r="B1">
        <f>'Berekening investering lease'!B41</f>
        <v>99.068749999999994</v>
      </c>
      <c r="F1" t="str">
        <f>'Berekening investering lease'!B17</f>
        <v>e-bike</v>
      </c>
    </row>
    <row r="2" spans="1:9" ht="17">
      <c r="A2" s="5" t="s">
        <v>4</v>
      </c>
      <c r="B2" s="1" t="s">
        <v>11</v>
      </c>
      <c r="C2" t="s">
        <v>12</v>
      </c>
      <c r="F2" t="s">
        <v>21</v>
      </c>
      <c r="G2" t="s">
        <v>22</v>
      </c>
      <c r="H2" t="s">
        <v>23</v>
      </c>
      <c r="I2" t="s">
        <v>26</v>
      </c>
    </row>
    <row r="3" spans="1:9">
      <c r="A3" s="5">
        <v>1</v>
      </c>
      <c r="B3" s="1">
        <v>0</v>
      </c>
      <c r="C3" s="2">
        <f>'Berekening investering lease'!B23</f>
        <v>2500</v>
      </c>
      <c r="F3" t="s">
        <v>24</v>
      </c>
      <c r="G3" s="7">
        <f>100/12</f>
        <v>8.3333333333333339</v>
      </c>
      <c r="H3">
        <v>6</v>
      </c>
      <c r="I3" s="2">
        <f>G3+H3</f>
        <v>14.333333333333334</v>
      </c>
    </row>
    <row r="4" spans="1:9">
      <c r="A4" s="1">
        <v>1</v>
      </c>
      <c r="B4" s="6">
        <f>(IF(A4*$B$1&gt;$C$3,0,A4*$B$1))</f>
        <v>99.068749999999994</v>
      </c>
      <c r="C4" s="3">
        <f>IF(B4=0,0,$C$3-B4)</f>
        <v>2400.9312500000001</v>
      </c>
      <c r="F4" t="s">
        <v>20</v>
      </c>
      <c r="G4">
        <f>150/12</f>
        <v>12.5</v>
      </c>
      <c r="H4">
        <v>8</v>
      </c>
      <c r="I4" s="2">
        <f t="shared" ref="I4:I5" si="0">G4+H4</f>
        <v>20.5</v>
      </c>
    </row>
    <row r="5" spans="1:9">
      <c r="A5" s="1">
        <v>2</v>
      </c>
      <c r="B5" s="6">
        <f t="shared" ref="B5:B21" si="1">(IF(A5*$B$1&gt;$C$3,0,A5*$B$1))</f>
        <v>198.13749999999999</v>
      </c>
      <c r="C5" s="3">
        <f t="shared" ref="C5:C38" si="2">IF(B5=0,0,$C$3-B5)</f>
        <v>2301.8625000000002</v>
      </c>
      <c r="F5" t="s">
        <v>25</v>
      </c>
      <c r="G5">
        <f>150/12</f>
        <v>12.5</v>
      </c>
      <c r="H5">
        <v>35</v>
      </c>
      <c r="I5" s="2">
        <f t="shared" si="0"/>
        <v>47.5</v>
      </c>
    </row>
    <row r="6" spans="1:9">
      <c r="A6" s="1">
        <v>3</v>
      </c>
      <c r="B6" s="6">
        <f t="shared" si="1"/>
        <v>297.20624999999995</v>
      </c>
      <c r="C6" s="3">
        <f t="shared" si="2"/>
        <v>2202.7937499999998</v>
      </c>
    </row>
    <row r="7" spans="1:9">
      <c r="A7" s="1">
        <v>4</v>
      </c>
      <c r="B7" s="6">
        <f t="shared" si="1"/>
        <v>396.27499999999998</v>
      </c>
      <c r="C7" s="3">
        <f t="shared" si="2"/>
        <v>2103.7249999999999</v>
      </c>
      <c r="F7">
        <f>VLOOKUP(F1,F3:I5,2,FALSE)</f>
        <v>12.5</v>
      </c>
    </row>
    <row r="8" spans="1:9">
      <c r="A8" s="1">
        <v>5</v>
      </c>
      <c r="B8" s="6">
        <f t="shared" si="1"/>
        <v>495.34375</v>
      </c>
      <c r="C8" s="3">
        <f t="shared" si="2"/>
        <v>2004.65625</v>
      </c>
    </row>
    <row r="9" spans="1:9">
      <c r="A9" s="1">
        <v>6</v>
      </c>
      <c r="B9" s="6">
        <f t="shared" si="1"/>
        <v>594.41249999999991</v>
      </c>
      <c r="C9" s="3">
        <f t="shared" si="2"/>
        <v>1905.5875000000001</v>
      </c>
    </row>
    <row r="10" spans="1:9">
      <c r="A10" s="1">
        <v>7</v>
      </c>
      <c r="B10" s="6">
        <f t="shared" si="1"/>
        <v>693.48124999999993</v>
      </c>
      <c r="C10" s="3">
        <f t="shared" si="2"/>
        <v>1806.5187500000002</v>
      </c>
    </row>
    <row r="11" spans="1:9">
      <c r="A11" s="1">
        <v>8</v>
      </c>
      <c r="B11" s="6">
        <f t="shared" si="1"/>
        <v>792.55</v>
      </c>
      <c r="C11" s="3">
        <f t="shared" si="2"/>
        <v>1707.45</v>
      </c>
    </row>
    <row r="12" spans="1:9">
      <c r="A12" s="1">
        <v>9</v>
      </c>
      <c r="B12" s="6">
        <f t="shared" si="1"/>
        <v>891.61874999999998</v>
      </c>
      <c r="C12" s="3">
        <f t="shared" si="2"/>
        <v>1608.3812499999999</v>
      </c>
    </row>
    <row r="13" spans="1:9">
      <c r="A13" s="1">
        <v>10</v>
      </c>
      <c r="B13" s="6">
        <f>(IF(A13*$B$1&gt;$C$3,0,A13*$B$1))</f>
        <v>990.6875</v>
      </c>
      <c r="C13" s="3">
        <f t="shared" si="2"/>
        <v>1509.3125</v>
      </c>
    </row>
    <row r="14" spans="1:9">
      <c r="A14" s="1">
        <v>11</v>
      </c>
      <c r="B14" s="6">
        <f t="shared" si="1"/>
        <v>1089.7562499999999</v>
      </c>
      <c r="C14" s="3">
        <f>IF(B14=0,0,$C$3-B14)</f>
        <v>1410.2437500000001</v>
      </c>
    </row>
    <row r="15" spans="1:9">
      <c r="A15" s="1">
        <v>12</v>
      </c>
      <c r="B15" s="6">
        <f t="shared" si="1"/>
        <v>1188.8249999999998</v>
      </c>
      <c r="C15" s="3">
        <f t="shared" si="2"/>
        <v>1311.1750000000002</v>
      </c>
    </row>
    <row r="16" spans="1:9">
      <c r="A16" s="1">
        <v>13</v>
      </c>
      <c r="B16" s="6">
        <f t="shared" si="1"/>
        <v>1287.89375</v>
      </c>
      <c r="C16" s="3">
        <f t="shared" si="2"/>
        <v>1212.10625</v>
      </c>
    </row>
    <row r="17" spans="1:3">
      <c r="A17" s="1">
        <v>14</v>
      </c>
      <c r="B17" s="6">
        <f t="shared" si="1"/>
        <v>1386.9624999999999</v>
      </c>
      <c r="C17" s="3">
        <f t="shared" si="2"/>
        <v>1113.0375000000001</v>
      </c>
    </row>
    <row r="18" spans="1:3">
      <c r="A18" s="1">
        <v>15</v>
      </c>
      <c r="B18" s="6">
        <f t="shared" si="1"/>
        <v>1486.03125</v>
      </c>
      <c r="C18" s="3">
        <f t="shared" si="2"/>
        <v>1013.96875</v>
      </c>
    </row>
    <row r="19" spans="1:3">
      <c r="A19" s="1">
        <v>16</v>
      </c>
      <c r="B19" s="6">
        <f t="shared" si="1"/>
        <v>1585.1</v>
      </c>
      <c r="C19" s="3">
        <f t="shared" si="2"/>
        <v>914.90000000000009</v>
      </c>
    </row>
    <row r="20" spans="1:3">
      <c r="A20" s="1">
        <v>17</v>
      </c>
      <c r="B20" s="6">
        <f t="shared" si="1"/>
        <v>1684.1687499999998</v>
      </c>
      <c r="C20" s="3">
        <f t="shared" si="2"/>
        <v>815.83125000000018</v>
      </c>
    </row>
    <row r="21" spans="1:3">
      <c r="A21" s="1">
        <v>18</v>
      </c>
      <c r="B21" s="6">
        <f t="shared" si="1"/>
        <v>1783.2375</v>
      </c>
      <c r="C21" s="3">
        <f t="shared" si="2"/>
        <v>716.76250000000005</v>
      </c>
    </row>
    <row r="22" spans="1:3">
      <c r="A22" s="1">
        <v>19</v>
      </c>
      <c r="B22" s="6">
        <f>(IF(A22*$B$1&gt;$C$3,0,A22*$B$1))</f>
        <v>1882.3062499999999</v>
      </c>
      <c r="C22" s="3">
        <f t="shared" si="2"/>
        <v>617.69375000000014</v>
      </c>
    </row>
    <row r="23" spans="1:3">
      <c r="A23" s="1">
        <v>20</v>
      </c>
      <c r="B23" s="6">
        <f>(IF(A23*$B$1&gt;$C$3,0,A23*$B$1))</f>
        <v>1981.375</v>
      </c>
      <c r="C23" s="3">
        <f>IF(B23=0,0,$C$3-B23)</f>
        <v>518.625</v>
      </c>
    </row>
    <row r="24" spans="1:3">
      <c r="A24" s="1">
        <v>21</v>
      </c>
      <c r="B24" s="6">
        <f>(IF(A24*$B$1&gt;$C$3,0,A24*$B$1))</f>
        <v>2080.4437499999999</v>
      </c>
      <c r="C24" s="3">
        <f t="shared" si="2"/>
        <v>419.55625000000009</v>
      </c>
    </row>
    <row r="25" spans="1:3">
      <c r="A25" s="1">
        <v>22</v>
      </c>
      <c r="B25" s="6">
        <f t="shared" ref="B25:B32" si="3">(IF(A25*$B$1&gt;$C$3,0,A25*$B$1))</f>
        <v>2179.5124999999998</v>
      </c>
      <c r="C25" s="3">
        <f t="shared" si="2"/>
        <v>320.48750000000018</v>
      </c>
    </row>
    <row r="26" spans="1:3">
      <c r="A26" s="1">
        <v>23</v>
      </c>
      <c r="B26" s="6">
        <f t="shared" si="3"/>
        <v>2278.5812499999997</v>
      </c>
      <c r="C26" s="3">
        <f>IF(B26=0,0,$C$3-B26)</f>
        <v>221.41875000000027</v>
      </c>
    </row>
    <row r="27" spans="1:3">
      <c r="A27" s="1">
        <v>24</v>
      </c>
      <c r="B27" s="6">
        <f t="shared" si="3"/>
        <v>2377.6499999999996</v>
      </c>
      <c r="C27" s="3">
        <f t="shared" si="2"/>
        <v>122.35000000000036</v>
      </c>
    </row>
    <row r="28" spans="1:3">
      <c r="A28" s="1">
        <v>25</v>
      </c>
      <c r="B28" s="6">
        <f t="shared" si="3"/>
        <v>2476.71875</v>
      </c>
      <c r="C28" s="3">
        <f t="shared" si="2"/>
        <v>23.28125</v>
      </c>
    </row>
    <row r="29" spans="1:3">
      <c r="A29" s="1">
        <v>26</v>
      </c>
      <c r="B29" s="6">
        <f t="shared" si="3"/>
        <v>0</v>
      </c>
      <c r="C29" s="3">
        <f t="shared" si="2"/>
        <v>0</v>
      </c>
    </row>
    <row r="30" spans="1:3">
      <c r="A30" s="1">
        <v>27</v>
      </c>
      <c r="B30" s="6">
        <f t="shared" si="3"/>
        <v>0</v>
      </c>
      <c r="C30" s="3">
        <f t="shared" si="2"/>
        <v>0</v>
      </c>
    </row>
    <row r="31" spans="1:3">
      <c r="A31" s="1">
        <v>28</v>
      </c>
      <c r="B31" s="6">
        <f t="shared" si="3"/>
        <v>0</v>
      </c>
      <c r="C31" s="3">
        <f t="shared" si="2"/>
        <v>0</v>
      </c>
    </row>
    <row r="32" spans="1:3">
      <c r="A32" s="1">
        <v>29</v>
      </c>
      <c r="B32" s="6">
        <f t="shared" si="3"/>
        <v>0</v>
      </c>
      <c r="C32" s="3">
        <f t="shared" si="2"/>
        <v>0</v>
      </c>
    </row>
    <row r="33" spans="1:3">
      <c r="A33" s="1">
        <v>30</v>
      </c>
      <c r="B33" s="6">
        <f>(IF(A33*$B$1&gt;$C$3,0,A33*$B$1))</f>
        <v>0</v>
      </c>
      <c r="C33" s="3">
        <f t="shared" si="2"/>
        <v>0</v>
      </c>
    </row>
    <row r="34" spans="1:3">
      <c r="A34" s="1">
        <v>31</v>
      </c>
      <c r="B34" s="6">
        <f t="shared" ref="B34:B38" si="4">(IF(A34*$B$1&gt;$C$3,0,A34*$B$1))</f>
        <v>0</v>
      </c>
      <c r="C34" s="3">
        <f t="shared" si="2"/>
        <v>0</v>
      </c>
    </row>
    <row r="35" spans="1:3">
      <c r="A35" s="1">
        <v>32</v>
      </c>
      <c r="B35" s="6">
        <f t="shared" si="4"/>
        <v>0</v>
      </c>
      <c r="C35" s="3">
        <f t="shared" si="2"/>
        <v>0</v>
      </c>
    </row>
    <row r="36" spans="1:3">
      <c r="A36" s="1">
        <v>33</v>
      </c>
      <c r="B36" s="6">
        <f t="shared" si="4"/>
        <v>0</v>
      </c>
      <c r="C36" s="3">
        <f t="shared" si="2"/>
        <v>0</v>
      </c>
    </row>
    <row r="37" spans="1:3">
      <c r="A37" s="1">
        <v>34</v>
      </c>
      <c r="B37" s="6">
        <f t="shared" si="4"/>
        <v>0</v>
      </c>
      <c r="C37" s="3">
        <f t="shared" si="2"/>
        <v>0</v>
      </c>
    </row>
    <row r="38" spans="1:3">
      <c r="A38" s="1">
        <v>35</v>
      </c>
      <c r="B38" s="6">
        <f t="shared" si="4"/>
        <v>0</v>
      </c>
      <c r="C38" s="3">
        <f t="shared" si="2"/>
        <v>0</v>
      </c>
    </row>
    <row r="39" spans="1:3">
      <c r="A39" s="1"/>
      <c r="B39" s="6"/>
      <c r="C39" s="3"/>
    </row>
    <row r="40" spans="1:3">
      <c r="A40" s="1"/>
      <c r="B40" s="6"/>
      <c r="C40" s="3"/>
    </row>
    <row r="41" spans="1:3">
      <c r="A41" s="1"/>
      <c r="B41" s="6"/>
      <c r="C41" s="3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Berekening investering lease</vt:lpstr>
      <vt:lpstr>grafiek berekening</vt:lpstr>
      <vt:lpstr>'Berekening investering lease'!Afdrukbereik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2019-09-23T13:18:52Z</dcterms:created>
  <dcterms:modified xsi:type="dcterms:W3CDTF">2023-08-29T19:08:51Z</dcterms:modified>
</cp:coreProperties>
</file>